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Z Office\PROJECTS\DEVELOPMENT\"/>
    </mc:Choice>
  </mc:AlternateContent>
  <xr:revisionPtr revIDLastSave="0" documentId="13_ncr:1_{6B0E0DBC-C154-4A01-8C20-3DCB3CA62AFD}" xr6:coauthVersionLast="36" xr6:coauthVersionMax="36" xr10:uidLastSave="{00000000-0000-0000-0000-000000000000}"/>
  <bookViews>
    <workbookView xWindow="120" yWindow="60" windowWidth="19080" windowHeight="11325" firstSheet="1" activeTab="1" xr2:uid="{00000000-000D-0000-FFFF-FFFF00000000}"/>
  </bookViews>
  <sheets>
    <sheet name="Tear Down " sheetId="4" r:id="rId1"/>
    <sheet name="DATA" sheetId="9" r:id="rId2"/>
    <sheet name="Quick Assessment" sheetId="7" r:id="rId3"/>
    <sheet name="Detailed Assessment " sheetId="8" r:id="rId4"/>
  </sheets>
  <definedNames>
    <definedName name="_xlnm.Print_Area" localSheetId="3">'Detailed Assessment '!$A$1:$I$53</definedName>
    <definedName name="_xlnm.Print_Area" localSheetId="2">'Quick Assessment'!$A$2:$D$14</definedName>
    <definedName name="_xlnm.Print_Area" localSheetId="0">'Tear Down '!$A$1:$M$36</definedName>
  </definedNames>
  <calcPr calcId="162913"/>
</workbook>
</file>

<file path=xl/calcChain.xml><?xml version="1.0" encoding="utf-8"?>
<calcChain xmlns="http://schemas.openxmlformats.org/spreadsheetml/2006/main">
  <c r="C11" i="8" l="1"/>
  <c r="C9" i="8"/>
  <c r="B27" i="9"/>
  <c r="B37" i="8"/>
  <c r="B36" i="8"/>
  <c r="B32" i="8"/>
  <c r="B31" i="8"/>
  <c r="B9" i="8"/>
  <c r="B22" i="9"/>
  <c r="B7" i="8"/>
  <c r="B6" i="8"/>
  <c r="B5" i="8"/>
  <c r="B14" i="9"/>
  <c r="B11" i="7" s="1"/>
  <c r="B6" i="7"/>
  <c r="B7" i="9"/>
  <c r="B4" i="7" s="1"/>
  <c r="B5" i="9"/>
  <c r="B14" i="7" l="1"/>
  <c r="B16" i="7"/>
  <c r="B17" i="7" s="1"/>
  <c r="B7" i="7"/>
  <c r="B8" i="7" l="1"/>
  <c r="B9" i="7" s="1"/>
  <c r="B18" i="7" s="1"/>
  <c r="B8" i="8"/>
  <c r="B12" i="8"/>
  <c r="B10" i="8"/>
  <c r="B33" i="8" l="1"/>
  <c r="B34" i="8"/>
  <c r="B10" i="7"/>
  <c r="B12" i="7" s="1"/>
  <c r="C12" i="7" s="1"/>
  <c r="B13" i="8"/>
  <c r="C7" i="8" s="1"/>
  <c r="B35" i="8" l="1"/>
  <c r="B38" i="8" s="1"/>
  <c r="C12" i="8"/>
  <c r="C6" i="8"/>
  <c r="B25" i="8"/>
  <c r="B18" i="8" s="1"/>
  <c r="B25" i="9" s="1"/>
  <c r="C10" i="8"/>
  <c r="C8" i="8"/>
  <c r="C5" i="8"/>
  <c r="E43" i="4"/>
  <c r="B43" i="4"/>
  <c r="E38" i="4"/>
  <c r="B38" i="4"/>
  <c r="B31" i="4"/>
  <c r="B13" i="4"/>
  <c r="E11" i="4"/>
  <c r="B11" i="4"/>
  <c r="E6" i="4"/>
  <c r="E18" i="4" s="1"/>
  <c r="B18" i="4" s="1"/>
  <c r="B19" i="4" s="1"/>
  <c r="E4" i="4"/>
  <c r="E10" i="4" s="1"/>
  <c r="B10" i="4" s="1"/>
  <c r="C38" i="8" l="1"/>
  <c r="B27" i="8"/>
  <c r="C18" i="8" s="1"/>
  <c r="B41" i="8"/>
  <c r="E37" i="4"/>
  <c r="B37" i="4" s="1"/>
  <c r="B40" i="4" s="1"/>
  <c r="B20" i="4"/>
  <c r="B16" i="4"/>
  <c r="B12" i="4"/>
  <c r="B14" i="4"/>
  <c r="E42" i="4"/>
  <c r="B42" i="4" s="1"/>
  <c r="B43" i="8" l="1"/>
  <c r="C43" i="8" s="1"/>
  <c r="C41" i="8"/>
  <c r="B44" i="8"/>
  <c r="C26" i="8"/>
  <c r="C22" i="8"/>
  <c r="C19" i="8"/>
  <c r="C25" i="8"/>
  <c r="C20" i="8"/>
  <c r="C24" i="8"/>
  <c r="C23" i="8"/>
  <c r="C21" i="8"/>
  <c r="B39" i="4"/>
  <c r="B41" i="4" s="1"/>
  <c r="B44" i="4" s="1"/>
  <c r="B17" i="4"/>
  <c r="C16" i="4" s="1"/>
  <c r="C12" i="4" l="1"/>
  <c r="C14" i="4"/>
  <c r="C9" i="4"/>
  <c r="B24" i="4"/>
  <c r="C11" i="4"/>
  <c r="C10" i="4"/>
  <c r="E50" i="4" l="1"/>
  <c r="E51" i="4" s="1"/>
  <c r="E52" i="4" s="1"/>
  <c r="B45" i="4" s="1"/>
  <c r="B33" i="4"/>
  <c r="C24" i="4" s="1"/>
  <c r="B48" i="4" l="1"/>
  <c r="B47" i="4"/>
  <c r="C30" i="4"/>
  <c r="C26" i="4"/>
  <c r="C32" i="4"/>
  <c r="C29" i="4"/>
  <c r="C25" i="4"/>
  <c r="C28" i="4"/>
  <c r="C27" i="4"/>
  <c r="C31" i="4"/>
</calcChain>
</file>

<file path=xl/sharedStrings.xml><?xml version="1.0" encoding="utf-8"?>
<sst xmlns="http://schemas.openxmlformats.org/spreadsheetml/2006/main" count="153" uniqueCount="106">
  <si>
    <t>Acquisition</t>
  </si>
  <si>
    <t>Architectural/Engineering</t>
  </si>
  <si>
    <t>Soft Costs</t>
  </si>
  <si>
    <t>Developer Fee</t>
  </si>
  <si>
    <t>Reserves</t>
  </si>
  <si>
    <t>TOTAL</t>
  </si>
  <si>
    <t>Estimated "As Complete" Fair Market Value</t>
  </si>
  <si>
    <t>Estimated Residential Cost/Unit</t>
  </si>
  <si>
    <t xml:space="preserve">SOURCES OF FUNDS </t>
  </si>
  <si>
    <t xml:space="preserve">USES OF FUNDS </t>
  </si>
  <si>
    <t>Commercial Loan</t>
  </si>
  <si>
    <t>DECD Housing Trust Fund</t>
  </si>
  <si>
    <t>DECD FLEX/HOME/Urban Act</t>
  </si>
  <si>
    <t>Federal Historic Tax Credit Equity</t>
  </si>
  <si>
    <t>State Historic Tax Credit Equity</t>
  </si>
  <si>
    <t>Developer Equity</t>
  </si>
  <si>
    <t>Deferred Developer Fee</t>
  </si>
  <si>
    <t xml:space="preserve">Fair Market Value Per Square Foot </t>
  </si>
  <si>
    <t>OPERATING PROFORMA</t>
  </si>
  <si>
    <t>Gross Residential Rent</t>
  </si>
  <si>
    <t>Gross Commercial Rent</t>
  </si>
  <si>
    <t>Gross Income</t>
  </si>
  <si>
    <t>Vacancy</t>
  </si>
  <si>
    <t>Effective Gross Rent</t>
  </si>
  <si>
    <t>Op Expenses</t>
  </si>
  <si>
    <t>RE Taxes</t>
  </si>
  <si>
    <t>NOI</t>
  </si>
  <si>
    <t>Debt Service</t>
  </si>
  <si>
    <t>Cash Flow</t>
  </si>
  <si>
    <t>Debt Coverage Ratio (DCR)</t>
  </si>
  <si>
    <t xml:space="preserve">Residential Development </t>
  </si>
  <si>
    <t>Assumption</t>
  </si>
  <si>
    <t xml:space="preserve">Commercial Development </t>
  </si>
  <si>
    <t xml:space="preserve">monthly debt service </t>
  </si>
  <si>
    <t>yearly debt service</t>
  </si>
  <si>
    <t xml:space="preserve">$133/SF value </t>
  </si>
  <si>
    <t>5% vacancy loss</t>
  </si>
  <si>
    <t>$2.5/SF</t>
  </si>
  <si>
    <t xml:space="preserve">$1/SF - commercial space </t>
  </si>
  <si>
    <t>Total Project Cost</t>
  </si>
  <si>
    <t>market rents</t>
  </si>
  <si>
    <t>per square foot</t>
  </si>
  <si>
    <t>7 year debt service</t>
  </si>
  <si>
    <t>Minimum rented needed</t>
  </si>
  <si>
    <t>Project size</t>
  </si>
  <si>
    <t>cost per square foot</t>
  </si>
  <si>
    <t xml:space="preserve">square feet </t>
  </si>
  <si>
    <t xml:space="preserve">land cost </t>
  </si>
  <si>
    <t xml:space="preserve"># dwelling units, average 1,000 square feet, $150/SF construction cost </t>
  </si>
  <si>
    <t xml:space="preserve"># square feet at $150/Sf construction cost </t>
  </si>
  <si>
    <t xml:space="preserve">Cash+Land Value </t>
  </si>
  <si>
    <t>Known</t>
  </si>
  <si>
    <t xml:space="preserve">Total # Units </t>
  </si>
  <si>
    <t xml:space="preserve">Total Residential SF </t>
  </si>
  <si>
    <t>Total Commercial SF</t>
  </si>
  <si>
    <t>TOTAL SF</t>
  </si>
  <si>
    <t xml:space="preserve">Environmental Remediation </t>
  </si>
  <si>
    <t>land and hazmat</t>
  </si>
  <si>
    <t xml:space="preserve">Brownfield Grant </t>
  </si>
  <si>
    <t>LIHTC</t>
  </si>
  <si>
    <t>$14.4/SF *16 units *1000 SF</t>
  </si>
  <si>
    <t>$15/SF *2200 SF</t>
  </si>
  <si>
    <t>TOTAL DEBT</t>
  </si>
  <si>
    <t>Elm Tree Inn</t>
  </si>
  <si>
    <t>6% 7 year term, per million borrowed</t>
  </si>
  <si>
    <t xml:space="preserve">Differential </t>
  </si>
  <si>
    <t xml:space="preserve">Debt coverage Ratio </t>
  </si>
  <si>
    <t xml:space="preserve">Gross Revenue </t>
  </si>
  <si>
    <t>DEBT</t>
  </si>
  <si>
    <t xml:space="preserve">75% of the project </t>
  </si>
  <si>
    <t>30 year AM 6% 7-year Balloon</t>
  </si>
  <si>
    <t xml:space="preserve">61% of Gross Market Rent </t>
  </si>
  <si>
    <t>Estimated NOI SF</t>
  </si>
  <si>
    <t xml:space="preserve">Estimated NOI Annual </t>
  </si>
  <si>
    <t>DATA</t>
  </si>
  <si>
    <t>DETAILS</t>
  </si>
  <si>
    <t xml:space="preserve">Divide by 1,000 </t>
  </si>
  <si>
    <t>Property Sales Price</t>
  </si>
  <si>
    <t>Market Rents</t>
  </si>
  <si>
    <t>Residential</t>
  </si>
  <si>
    <t>Commercial</t>
  </si>
  <si>
    <t>AVERAGE</t>
  </si>
  <si>
    <t>want to be &gt;1.3</t>
  </si>
  <si>
    <t>QUICK ASSESSMENT</t>
  </si>
  <si>
    <t>Construction cost/SF</t>
  </si>
  <si>
    <t>Environmental Remediation</t>
  </si>
  <si>
    <t>Site Assessment</t>
  </si>
  <si>
    <t>Hazardous Materials Abatement</t>
  </si>
  <si>
    <t>TOTAL ER</t>
  </si>
  <si>
    <t>DETAILED ASSESSMENT</t>
  </si>
  <si>
    <t>$1.1/SF</t>
  </si>
  <si>
    <t>Cash Flow Before Tax</t>
  </si>
  <si>
    <t>PERCENT</t>
  </si>
  <si>
    <t xml:space="preserve">MONTHLY </t>
  </si>
  <si>
    <t>ANNUAL</t>
  </si>
  <si>
    <t>LOAN DETAILS</t>
  </si>
  <si>
    <t>Total Debt</t>
  </si>
  <si>
    <t>DATA ENTRY LEGEND</t>
  </si>
  <si>
    <t>INPUT DATA</t>
  </si>
  <si>
    <t>CALCULATION (do not change)</t>
  </si>
  <si>
    <t>LINKED DATA (do not change)</t>
  </si>
  <si>
    <t>ASSUMPTIONS</t>
  </si>
  <si>
    <t>61% is target</t>
  </si>
  <si>
    <t xml:space="preserve">Estimated Square footage that would be used for residential purposes </t>
  </si>
  <si>
    <t xml:space="preserve">Estimated Square footage that would be used for commercial purposes </t>
  </si>
  <si>
    <t>NO DATA OR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</si>
</sst>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Font="1"/>
    <xf numFmtId="0" fontId="0" fillId="0" borderId="0" xfId="3" applyFont="1"/>
    <xf numFmtId="0" fontId="2" fillId="0" borderId="0" xfId="3" applyFont="1"/>
    <xf numFmtId="0" fontId="2" fillId="0" borderId="0" xfId="3" applyFont="1" applyFill="1"/>
    <xf numFmtId="0" fontId="2" fillId="0" borderId="0" xfId="3" applyFont="1" applyFill="1" applyAlignment="1"/>
    <xf numFmtId="0" fontId="0" fillId="0" borderId="1" xfId="3" applyFont="1" applyBorder="1"/>
    <xf numFmtId="0" fontId="0" fillId="0" borderId="5" xfId="0" applyFont="1" applyBorder="1"/>
    <xf numFmtId="0" fontId="0" fillId="0" borderId="4" xfId="0" applyFont="1" applyBorder="1"/>
    <xf numFmtId="9" fontId="0" fillId="0" borderId="5" xfId="2" applyFont="1" applyBorder="1"/>
    <xf numFmtId="9" fontId="0" fillId="0" borderId="7" xfId="2" applyFont="1" applyBorder="1"/>
    <xf numFmtId="164" fontId="0" fillId="0" borderId="4" xfId="1" applyNumberFormat="1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5" xfId="1" applyNumberFormat="1" applyFont="1" applyFill="1" applyBorder="1"/>
    <xf numFmtId="9" fontId="0" fillId="0" borderId="4" xfId="2" applyFont="1" applyFill="1" applyBorder="1"/>
    <xf numFmtId="9" fontId="0" fillId="0" borderId="5" xfId="2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164" fontId="0" fillId="2" borderId="4" xfId="1" applyNumberFormat="1" applyFont="1" applyFill="1" applyBorder="1"/>
    <xf numFmtId="164" fontId="2" fillId="2" borderId="4" xfId="1" applyNumberFormat="1" applyFont="1" applyFill="1" applyBorder="1"/>
    <xf numFmtId="0" fontId="0" fillId="4" borderId="0" xfId="0" applyFont="1" applyFill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0" borderId="1" xfId="0" applyBorder="1"/>
    <xf numFmtId="0" fontId="4" fillId="5" borderId="0" xfId="0" applyFont="1" applyFill="1"/>
    <xf numFmtId="164" fontId="0" fillId="5" borderId="4" xfId="1" applyNumberFormat="1" applyFont="1" applyFill="1" applyBorder="1"/>
    <xf numFmtId="164" fontId="0" fillId="2" borderId="6" xfId="1" applyNumberFormat="1" applyFont="1" applyFill="1" applyBorder="1"/>
    <xf numFmtId="164" fontId="0" fillId="5" borderId="6" xfId="1" applyNumberFormat="1" applyFont="1" applyFill="1" applyBorder="1"/>
    <xf numFmtId="2" fontId="0" fillId="2" borderId="4" xfId="1" applyNumberFormat="1" applyFont="1" applyFill="1" applyBorder="1"/>
    <xf numFmtId="0" fontId="0" fillId="5" borderId="0" xfId="0" applyFont="1" applyFill="1"/>
    <xf numFmtId="0" fontId="0" fillId="5" borderId="0" xfId="0" applyFill="1"/>
    <xf numFmtId="0" fontId="0" fillId="2" borderId="0" xfId="0" applyFont="1" applyFill="1"/>
    <xf numFmtId="0" fontId="0" fillId="2" borderId="4" xfId="1" applyNumberFormat="1" applyFont="1" applyFill="1" applyBorder="1"/>
    <xf numFmtId="164" fontId="0" fillId="2" borderId="0" xfId="0" applyNumberFormat="1" applyFont="1" applyFill="1"/>
    <xf numFmtId="165" fontId="0" fillId="2" borderId="0" xfId="5" applyNumberFormat="1" applyFont="1" applyFill="1"/>
    <xf numFmtId="44" fontId="0" fillId="2" borderId="0" xfId="0" applyNumberFormat="1" applyFont="1" applyFill="1"/>
    <xf numFmtId="0" fontId="0" fillId="0" borderId="0" xfId="0" applyFont="1" applyFill="1" applyBorder="1"/>
    <xf numFmtId="164" fontId="0" fillId="0" borderId="0" xfId="0" applyNumberFormat="1" applyFont="1" applyFill="1"/>
    <xf numFmtId="0" fontId="6" fillId="0" borderId="0" xfId="0" applyFont="1"/>
    <xf numFmtId="44" fontId="0" fillId="2" borderId="0" xfId="1" applyFont="1" applyFill="1"/>
    <xf numFmtId="0" fontId="0" fillId="0" borderId="0" xfId="0" applyFont="1" applyFill="1"/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Fill="1" applyBorder="1"/>
    <xf numFmtId="9" fontId="0" fillId="0" borderId="0" xfId="2" applyFont="1" applyFill="1" applyBorder="1"/>
    <xf numFmtId="0" fontId="4" fillId="8" borderId="0" xfId="0" applyFont="1" applyFill="1"/>
    <xf numFmtId="165" fontId="0" fillId="6" borderId="8" xfId="5" applyNumberFormat="1" applyFont="1" applyFill="1" applyBorder="1"/>
    <xf numFmtId="164" fontId="0" fillId="2" borderId="9" xfId="1" applyNumberFormat="1" applyFont="1" applyFill="1" applyBorder="1"/>
    <xf numFmtId="164" fontId="0" fillId="6" borderId="9" xfId="1" applyNumberFormat="1" applyFont="1" applyFill="1" applyBorder="1"/>
    <xf numFmtId="44" fontId="0" fillId="2" borderId="9" xfId="0" applyNumberFormat="1" applyFill="1" applyBorder="1"/>
    <xf numFmtId="164" fontId="0" fillId="2" borderId="9" xfId="0" applyNumberFormat="1" applyFill="1" applyBorder="1"/>
    <xf numFmtId="164" fontId="0" fillId="6" borderId="10" xfId="0" applyNumberFormat="1" applyFill="1" applyBorder="1"/>
    <xf numFmtId="0" fontId="0" fillId="0" borderId="9" xfId="0" applyBorder="1"/>
    <xf numFmtId="2" fontId="0" fillId="2" borderId="11" xfId="0" applyNumberFormat="1" applyFill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0" fillId="6" borderId="14" xfId="1" applyNumberFormat="1" applyFont="1" applyFill="1" applyBorder="1"/>
    <xf numFmtId="164" fontId="0" fillId="2" borderId="14" xfId="1" applyNumberFormat="1" applyFont="1" applyFill="1" applyBorder="1"/>
    <xf numFmtId="164" fontId="0" fillId="5" borderId="14" xfId="1" applyNumberFormat="1" applyFont="1" applyFill="1" applyBorder="1"/>
    <xf numFmtId="164" fontId="0" fillId="2" borderId="16" xfId="1" applyNumberFormat="1" applyFont="1" applyFill="1" applyBorder="1"/>
    <xf numFmtId="164" fontId="2" fillId="2" borderId="14" xfId="1" applyNumberFormat="1" applyFont="1" applyFill="1" applyBorder="1"/>
    <xf numFmtId="0" fontId="0" fillId="0" borderId="15" xfId="0" applyFont="1" applyBorder="1"/>
    <xf numFmtId="164" fontId="0" fillId="0" borderId="14" xfId="1" applyNumberFormat="1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0" fillId="5" borderId="16" xfId="1" applyNumberFormat="1" applyFont="1" applyFill="1" applyBorder="1"/>
    <xf numFmtId="0" fontId="0" fillId="4" borderId="16" xfId="0" applyFont="1" applyFill="1" applyBorder="1"/>
    <xf numFmtId="0" fontId="0" fillId="4" borderId="17" xfId="0" applyFont="1" applyFill="1" applyBorder="1"/>
    <xf numFmtId="0" fontId="0" fillId="0" borderId="15" xfId="0" applyFont="1" applyFill="1" applyBorder="1"/>
    <xf numFmtId="9" fontId="0" fillId="0" borderId="15" xfId="2" applyFont="1" applyFill="1" applyBorder="1"/>
    <xf numFmtId="0" fontId="0" fillId="0" borderId="15" xfId="0" applyNumberFormat="1" applyFont="1" applyFill="1" applyBorder="1"/>
    <xf numFmtId="9" fontId="0" fillId="2" borderId="15" xfId="2" applyFont="1" applyFill="1" applyBorder="1"/>
    <xf numFmtId="164" fontId="0" fillId="2" borderId="15" xfId="0" applyNumberFormat="1" applyFont="1" applyFill="1" applyBorder="1"/>
    <xf numFmtId="0" fontId="0" fillId="0" borderId="14" xfId="0" applyFont="1" applyBorder="1"/>
    <xf numFmtId="2" fontId="0" fillId="2" borderId="14" xfId="1" applyNumberFormat="1" applyFont="1" applyFill="1" applyBorder="1"/>
    <xf numFmtId="0" fontId="0" fillId="0" borderId="14" xfId="0" applyFont="1" applyFill="1" applyBorder="1"/>
    <xf numFmtId="164" fontId="0" fillId="0" borderId="15" xfId="1" applyNumberFormat="1" applyFont="1" applyFill="1" applyBorder="1"/>
    <xf numFmtId="9" fontId="0" fillId="0" borderId="20" xfId="2" applyFont="1" applyFill="1" applyBorder="1"/>
    <xf numFmtId="9" fontId="0" fillId="0" borderId="21" xfId="2" applyFont="1" applyFill="1" applyBorder="1"/>
    <xf numFmtId="165" fontId="0" fillId="5" borderId="8" xfId="5" applyNumberFormat="1" applyFont="1" applyFill="1" applyBorder="1"/>
    <xf numFmtId="0" fontId="0" fillId="2" borderId="9" xfId="0" applyFont="1" applyFill="1" applyBorder="1"/>
    <xf numFmtId="0" fontId="0" fillId="5" borderId="9" xfId="0" applyFont="1" applyFill="1" applyBorder="1"/>
    <xf numFmtId="165" fontId="0" fillId="2" borderId="9" xfId="5" applyNumberFormat="1" applyFont="1" applyFill="1" applyBorder="1"/>
    <xf numFmtId="164" fontId="0" fillId="5" borderId="9" xfId="1" applyNumberFormat="1" applyFont="1" applyFill="1" applyBorder="1"/>
    <xf numFmtId="0" fontId="0" fillId="5" borderId="9" xfId="0" applyFill="1" applyBorder="1"/>
    <xf numFmtId="0" fontId="0" fillId="7" borderId="9" xfId="0" applyFill="1" applyBorder="1"/>
    <xf numFmtId="0" fontId="0" fillId="2" borderId="9" xfId="0" applyFill="1" applyBorder="1"/>
    <xf numFmtId="0" fontId="0" fillId="0" borderId="9" xfId="0" applyFont="1" applyBorder="1"/>
    <xf numFmtId="164" fontId="0" fillId="6" borderId="9" xfId="0" applyNumberFormat="1" applyFont="1" applyFill="1" applyBorder="1"/>
    <xf numFmtId="44" fontId="0" fillId="5" borderId="9" xfId="0" applyNumberFormat="1" applyFont="1" applyFill="1" applyBorder="1"/>
    <xf numFmtId="165" fontId="0" fillId="2" borderId="11" xfId="5" applyNumberFormat="1" applyFont="1" applyFill="1" applyBorder="1"/>
    <xf numFmtId="9" fontId="0" fillId="2" borderId="17" xfId="2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8" xfId="0" applyFont="1" applyBorder="1"/>
    <xf numFmtId="0" fontId="0" fillId="6" borderId="9" xfId="0" applyFill="1" applyBorder="1"/>
    <xf numFmtId="0" fontId="0" fillId="0" borderId="11" xfId="0" applyBorder="1"/>
  </cellXfs>
  <cellStyles count="6">
    <cellStyle name="Comma" xfId="5" builtinId="3"/>
    <cellStyle name="Currency" xfId="1" builtinId="4"/>
    <cellStyle name="Currency 2" xfId="4" xr:uid="{00000000-0005-0000-0000-000002000000}"/>
    <cellStyle name="Normal" xfId="0" builtinId="0"/>
    <cellStyle name="Normal 2" xfId="3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003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3360-BA56-48FF-BCE3-B9E3EC05D719}">
  <sheetPr>
    <pageSetUpPr fitToPage="1"/>
  </sheetPr>
  <dimension ref="A1:F57"/>
  <sheetViews>
    <sheetView workbookViewId="0">
      <selection activeCell="I24" sqref="I24"/>
    </sheetView>
  </sheetViews>
  <sheetFormatPr defaultRowHeight="15" x14ac:dyDescent="0.25"/>
  <cols>
    <col min="1" max="1" width="41.85546875" style="3" customWidth="1"/>
    <col min="2" max="3" width="15.7109375" style="3" customWidth="1"/>
    <col min="4" max="4" width="9.140625" style="3"/>
    <col min="5" max="5" width="11.5703125" style="3" bestFit="1" customWidth="1"/>
    <col min="6" max="6" width="15.7109375" style="3" customWidth="1"/>
    <col min="7" max="8" width="2.7109375" style="3" customWidth="1"/>
    <col min="9" max="9" width="28.140625" style="3" customWidth="1"/>
    <col min="10" max="10" width="2.28515625" style="3" customWidth="1"/>
    <col min="11" max="11" width="9.140625" style="3"/>
    <col min="12" max="13" width="15.7109375" style="3" customWidth="1"/>
    <col min="14" max="16384" width="9.140625" style="3"/>
  </cols>
  <sheetData>
    <row r="1" spans="1:6" s="1" customFormat="1" ht="28.5" x14ac:dyDescent="0.45">
      <c r="A1" s="29" t="s">
        <v>63</v>
      </c>
    </row>
    <row r="2" spans="1:6" x14ac:dyDescent="0.25">
      <c r="E2" s="3" t="s">
        <v>51</v>
      </c>
    </row>
    <row r="3" spans="1:6" x14ac:dyDescent="0.25">
      <c r="E3" s="34">
        <v>20000</v>
      </c>
      <c r="F3" s="3" t="s">
        <v>53</v>
      </c>
    </row>
    <row r="4" spans="1:6" x14ac:dyDescent="0.25">
      <c r="E4" s="36">
        <f>E3/1000</f>
        <v>20</v>
      </c>
      <c r="F4" s="3" t="s">
        <v>52</v>
      </c>
    </row>
    <row r="5" spans="1:6" x14ac:dyDescent="0.25">
      <c r="E5" s="34">
        <v>4000</v>
      </c>
      <c r="F5" s="3" t="s">
        <v>54</v>
      </c>
    </row>
    <row r="6" spans="1:6" x14ac:dyDescent="0.25">
      <c r="E6" s="36">
        <f>E3+E5</f>
        <v>24000</v>
      </c>
      <c r="F6" s="3" t="s">
        <v>55</v>
      </c>
    </row>
    <row r="8" spans="1:6" x14ac:dyDescent="0.25">
      <c r="A8" s="2" t="s">
        <v>9</v>
      </c>
      <c r="B8" s="99"/>
      <c r="C8" s="100"/>
      <c r="E8" t="s">
        <v>31</v>
      </c>
    </row>
    <row r="9" spans="1:6" x14ac:dyDescent="0.25">
      <c r="A9" s="4" t="s">
        <v>0</v>
      </c>
      <c r="B9" s="30">
        <v>1200000</v>
      </c>
      <c r="C9" s="11">
        <f>SUM(B9/B$17)</f>
        <v>0.20547945205479451</v>
      </c>
      <c r="F9"/>
    </row>
    <row r="10" spans="1:6" x14ac:dyDescent="0.25">
      <c r="A10" s="4" t="s">
        <v>30</v>
      </c>
      <c r="B10" s="21">
        <f>SUM(E10)</f>
        <v>3000000</v>
      </c>
      <c r="C10" s="11">
        <f t="shared" ref="C10:C16" si="0">SUM(B10/B$17)</f>
        <v>0.51369863013698636</v>
      </c>
      <c r="E10" s="36">
        <f>SUM(E4*1000*150)</f>
        <v>3000000</v>
      </c>
      <c r="F10" t="s">
        <v>48</v>
      </c>
    </row>
    <row r="11" spans="1:6" x14ac:dyDescent="0.25">
      <c r="A11" s="4" t="s">
        <v>32</v>
      </c>
      <c r="B11" s="21">
        <f>E11</f>
        <v>600000</v>
      </c>
      <c r="C11" s="11">
        <f t="shared" si="0"/>
        <v>0.10273972602739725</v>
      </c>
      <c r="E11" s="36">
        <f>SUM(E5*150)</f>
        <v>600000</v>
      </c>
      <c r="F11" t="s">
        <v>49</v>
      </c>
    </row>
    <row r="12" spans="1:6" x14ac:dyDescent="0.25">
      <c r="A12" s="4" t="s">
        <v>1</v>
      </c>
      <c r="B12" s="21">
        <f>(B10+B11)*0.05</f>
        <v>180000</v>
      </c>
      <c r="C12" s="11">
        <f t="shared" si="0"/>
        <v>3.0821917808219176E-2</v>
      </c>
    </row>
    <row r="13" spans="1:6" x14ac:dyDescent="0.25">
      <c r="A13" s="4" t="s">
        <v>56</v>
      </c>
      <c r="B13" s="21">
        <f>E13</f>
        <v>0</v>
      </c>
      <c r="C13" s="11"/>
      <c r="E13" s="34"/>
      <c r="F13" s="3" t="s">
        <v>57</v>
      </c>
    </row>
    <row r="14" spans="1:6" x14ac:dyDescent="0.25">
      <c r="A14" s="4" t="s">
        <v>2</v>
      </c>
      <c r="B14" s="21">
        <f>(B11+B10)*0.1</f>
        <v>360000</v>
      </c>
      <c r="C14" s="11">
        <f t="shared" si="0"/>
        <v>6.1643835616438353E-2</v>
      </c>
    </row>
    <row r="15" spans="1:6" x14ac:dyDescent="0.25">
      <c r="A15" s="4" t="s">
        <v>3</v>
      </c>
      <c r="B15" s="30">
        <v>350000</v>
      </c>
      <c r="C15" s="11"/>
    </row>
    <row r="16" spans="1:6" x14ac:dyDescent="0.25">
      <c r="A16" s="8" t="s">
        <v>4</v>
      </c>
      <c r="B16" s="31">
        <f>SUM(B10*0.05)</f>
        <v>150000</v>
      </c>
      <c r="C16" s="12">
        <f t="shared" si="0"/>
        <v>2.5684931506849314E-2</v>
      </c>
    </row>
    <row r="17" spans="1:6" x14ac:dyDescent="0.25">
      <c r="A17" s="5" t="s">
        <v>5</v>
      </c>
      <c r="B17" s="22">
        <f>SUM(B9:B16)</f>
        <v>5840000</v>
      </c>
      <c r="C17" s="9"/>
    </row>
    <row r="18" spans="1:6" x14ac:dyDescent="0.25">
      <c r="A18" s="4" t="s">
        <v>6</v>
      </c>
      <c r="B18" s="21">
        <f>E18</f>
        <v>3192000</v>
      </c>
      <c r="C18" s="9"/>
      <c r="E18" s="36">
        <f>E6*133</f>
        <v>3192000</v>
      </c>
      <c r="F18" t="s">
        <v>35</v>
      </c>
    </row>
    <row r="19" spans="1:6" x14ac:dyDescent="0.25">
      <c r="A19" s="4" t="s">
        <v>17</v>
      </c>
      <c r="B19" s="21">
        <f>SUM(B18/150000)</f>
        <v>21.28</v>
      </c>
      <c r="C19" s="9"/>
    </row>
    <row r="20" spans="1:6" x14ac:dyDescent="0.25">
      <c r="A20" s="4" t="s">
        <v>7</v>
      </c>
      <c r="B20" s="37">
        <f>SUM(B10/E4)</f>
        <v>150000</v>
      </c>
      <c r="C20" s="9"/>
    </row>
    <row r="21" spans="1:6" x14ac:dyDescent="0.25">
      <c r="A21" s="23"/>
      <c r="B21" s="24"/>
      <c r="C21" s="25"/>
    </row>
    <row r="22" spans="1:6" x14ac:dyDescent="0.25">
      <c r="A22" s="23"/>
      <c r="B22" s="24"/>
      <c r="C22" s="25"/>
    </row>
    <row r="23" spans="1:6" x14ac:dyDescent="0.25">
      <c r="A23" s="6" t="s">
        <v>8</v>
      </c>
      <c r="B23" s="10"/>
      <c r="C23" s="9"/>
    </row>
    <row r="24" spans="1:6" x14ac:dyDescent="0.25">
      <c r="A24" s="4" t="s">
        <v>10</v>
      </c>
      <c r="B24" s="21">
        <f>SUM(B17-B25-B26-B27-B30-B31-B32)</f>
        <v>5490000</v>
      </c>
      <c r="C24" s="11">
        <f t="shared" ref="C24:C32" si="1">SUM(B24/B$33)</f>
        <v>0.94006849315068497</v>
      </c>
    </row>
    <row r="25" spans="1:6" x14ac:dyDescent="0.25">
      <c r="A25" s="4" t="s">
        <v>11</v>
      </c>
      <c r="B25" s="30"/>
      <c r="C25" s="11">
        <f t="shared" si="1"/>
        <v>0</v>
      </c>
      <c r="E25"/>
    </row>
    <row r="26" spans="1:6" x14ac:dyDescent="0.25">
      <c r="A26" s="4" t="s">
        <v>12</v>
      </c>
      <c r="B26" s="30"/>
      <c r="C26" s="11">
        <f t="shared" si="1"/>
        <v>0</v>
      </c>
    </row>
    <row r="27" spans="1:6" x14ac:dyDescent="0.25">
      <c r="A27" s="4" t="s">
        <v>13</v>
      </c>
      <c r="B27" s="30"/>
      <c r="C27" s="11">
        <f t="shared" si="1"/>
        <v>0</v>
      </c>
    </row>
    <row r="28" spans="1:6" x14ac:dyDescent="0.25">
      <c r="A28" s="4" t="s">
        <v>58</v>
      </c>
      <c r="B28" s="30"/>
      <c r="C28" s="11">
        <f t="shared" si="1"/>
        <v>0</v>
      </c>
    </row>
    <row r="29" spans="1:6" x14ac:dyDescent="0.25">
      <c r="A29" s="4" t="s">
        <v>59</v>
      </c>
      <c r="B29" s="30"/>
      <c r="C29" s="11">
        <f t="shared" si="1"/>
        <v>0</v>
      </c>
    </row>
    <row r="30" spans="1:6" x14ac:dyDescent="0.25">
      <c r="A30" s="4" t="s">
        <v>14</v>
      </c>
      <c r="B30" s="30"/>
      <c r="C30" s="11">
        <f t="shared" si="1"/>
        <v>0</v>
      </c>
    </row>
    <row r="31" spans="1:6" x14ac:dyDescent="0.25">
      <c r="A31" s="4" t="s">
        <v>15</v>
      </c>
      <c r="B31" s="21">
        <f>E31</f>
        <v>0</v>
      </c>
      <c r="C31" s="11">
        <f t="shared" si="1"/>
        <v>0</v>
      </c>
      <c r="E31" s="35"/>
      <c r="F31" s="3" t="s">
        <v>50</v>
      </c>
    </row>
    <row r="32" spans="1:6" x14ac:dyDescent="0.25">
      <c r="A32" s="8" t="s">
        <v>16</v>
      </c>
      <c r="B32" s="32">
        <v>350000</v>
      </c>
      <c r="C32" s="12">
        <f t="shared" si="1"/>
        <v>5.9931506849315065E-2</v>
      </c>
    </row>
    <row r="33" spans="1:6" x14ac:dyDescent="0.25">
      <c r="A33" s="5" t="s">
        <v>5</v>
      </c>
      <c r="B33" s="22">
        <f>SUM(B24:B32)</f>
        <v>5840000</v>
      </c>
      <c r="C33" s="9"/>
    </row>
    <row r="34" spans="1:6" x14ac:dyDescent="0.25">
      <c r="A34" s="23"/>
      <c r="B34" s="24"/>
      <c r="C34" s="25"/>
    </row>
    <row r="35" spans="1:6" x14ac:dyDescent="0.25">
      <c r="A35" s="23"/>
      <c r="B35" s="26"/>
      <c r="C35" s="27"/>
    </row>
    <row r="36" spans="1:6" x14ac:dyDescent="0.25">
      <c r="A36" s="2" t="s">
        <v>18</v>
      </c>
      <c r="B36" s="10"/>
      <c r="C36" s="9"/>
    </row>
    <row r="37" spans="1:6" x14ac:dyDescent="0.25">
      <c r="A37" s="4" t="s">
        <v>19</v>
      </c>
      <c r="B37" s="21">
        <f>E37</f>
        <v>288000</v>
      </c>
      <c r="C37" s="14"/>
      <c r="E37" s="34">
        <f>E4*1000*14.4</f>
        <v>288000</v>
      </c>
      <c r="F37" t="s">
        <v>60</v>
      </c>
    </row>
    <row r="38" spans="1:6" x14ac:dyDescent="0.25">
      <c r="A38" s="4" t="s">
        <v>20</v>
      </c>
      <c r="B38" s="21">
        <f>E38</f>
        <v>60000</v>
      </c>
      <c r="C38" s="14"/>
      <c r="E38" s="34">
        <f>E5*15</f>
        <v>60000</v>
      </c>
      <c r="F38" t="s">
        <v>61</v>
      </c>
    </row>
    <row r="39" spans="1:6" x14ac:dyDescent="0.25">
      <c r="A39" s="4" t="s">
        <v>21</v>
      </c>
      <c r="B39" s="21">
        <f>SUM(B37:B38)</f>
        <v>348000</v>
      </c>
      <c r="C39" s="14"/>
    </row>
    <row r="40" spans="1:6" x14ac:dyDescent="0.25">
      <c r="A40" s="4" t="s">
        <v>22</v>
      </c>
      <c r="B40" s="21">
        <f>(B37+B38)*0.05</f>
        <v>17400</v>
      </c>
      <c r="C40" s="14"/>
      <c r="F40" t="s">
        <v>36</v>
      </c>
    </row>
    <row r="41" spans="1:6" x14ac:dyDescent="0.25">
      <c r="A41" s="4" t="s">
        <v>23</v>
      </c>
      <c r="B41" s="21">
        <f>SUM(B39-B40)</f>
        <v>330600</v>
      </c>
      <c r="C41" s="14"/>
    </row>
    <row r="42" spans="1:6" x14ac:dyDescent="0.25">
      <c r="A42" s="4" t="s">
        <v>24</v>
      </c>
      <c r="B42" s="21">
        <f>E42</f>
        <v>60000</v>
      </c>
      <c r="C42" s="14"/>
      <c r="E42" s="36">
        <f>2.5*E6</f>
        <v>60000</v>
      </c>
      <c r="F42" s="3" t="s">
        <v>37</v>
      </c>
    </row>
    <row r="43" spans="1:6" x14ac:dyDescent="0.25">
      <c r="A43" s="4" t="s">
        <v>25</v>
      </c>
      <c r="B43" s="21">
        <f>E43</f>
        <v>4000</v>
      </c>
      <c r="C43" s="14"/>
      <c r="E43" s="36">
        <f>E5*1</f>
        <v>4000</v>
      </c>
      <c r="F43" s="3" t="s">
        <v>38</v>
      </c>
    </row>
    <row r="44" spans="1:6" x14ac:dyDescent="0.25">
      <c r="A44" s="4" t="s">
        <v>26</v>
      </c>
      <c r="B44" s="21">
        <f>SUM(B41-B42-B43)</f>
        <v>266600</v>
      </c>
      <c r="C44" s="14"/>
    </row>
    <row r="45" spans="1:6" x14ac:dyDescent="0.25">
      <c r="A45" s="4" t="s">
        <v>27</v>
      </c>
      <c r="B45" s="21">
        <f>SUM(E52)</f>
        <v>922320</v>
      </c>
      <c r="C45" s="14"/>
    </row>
    <row r="46" spans="1:6" x14ac:dyDescent="0.25">
      <c r="A46" s="4"/>
      <c r="B46" s="10"/>
      <c r="C46" s="14"/>
    </row>
    <row r="47" spans="1:6" x14ac:dyDescent="0.25">
      <c r="A47" s="4" t="s">
        <v>28</v>
      </c>
      <c r="B47" s="21">
        <f>SUM(B44-B45)</f>
        <v>-655720</v>
      </c>
      <c r="C47" s="14"/>
    </row>
    <row r="48" spans="1:6" x14ac:dyDescent="0.25">
      <c r="A48" s="4" t="s">
        <v>29</v>
      </c>
      <c r="B48" s="33">
        <f>SUM(B44/B45)</f>
        <v>0.28905369069303494</v>
      </c>
      <c r="C48" s="14"/>
      <c r="F48"/>
    </row>
    <row r="49" spans="1:6" x14ac:dyDescent="0.25">
      <c r="A49" s="23"/>
      <c r="B49" s="24"/>
      <c r="C49" s="25"/>
    </row>
    <row r="50" spans="1:6" x14ac:dyDescent="0.25">
      <c r="A50" s="23"/>
      <c r="B50" s="24"/>
      <c r="C50" s="25"/>
      <c r="E50" s="38">
        <f>SUM(B24)</f>
        <v>5490000</v>
      </c>
      <c r="F50" s="3" t="s">
        <v>62</v>
      </c>
    </row>
    <row r="51" spans="1:6" x14ac:dyDescent="0.25">
      <c r="A51" s="7"/>
      <c r="B51" s="15"/>
      <c r="C51" s="14"/>
      <c r="E51" s="40">
        <f>SUM((E50/1000000)*E54)</f>
        <v>76860</v>
      </c>
      <c r="F51" t="s">
        <v>33</v>
      </c>
    </row>
    <row r="52" spans="1:6" x14ac:dyDescent="0.25">
      <c r="A52" s="4"/>
      <c r="B52" s="13"/>
      <c r="C52" s="16"/>
      <c r="E52" s="39">
        <f>SUM(E51*12)</f>
        <v>922320</v>
      </c>
      <c r="F52" t="s">
        <v>34</v>
      </c>
    </row>
    <row r="53" spans="1:6" x14ac:dyDescent="0.25">
      <c r="A53" s="4"/>
      <c r="B53" s="17"/>
      <c r="C53" s="18"/>
    </row>
    <row r="54" spans="1:6" x14ac:dyDescent="0.25">
      <c r="A54" s="4"/>
      <c r="B54" s="13"/>
      <c r="C54" s="16"/>
      <c r="E54" s="38">
        <v>14000</v>
      </c>
      <c r="F54" s="3" t="s">
        <v>64</v>
      </c>
    </row>
    <row r="55" spans="1:6" x14ac:dyDescent="0.25">
      <c r="A55" s="4"/>
      <c r="B55" s="17"/>
      <c r="C55" s="18"/>
    </row>
    <row r="56" spans="1:6" x14ac:dyDescent="0.25">
      <c r="A56" s="4"/>
      <c r="B56" s="13"/>
      <c r="C56" s="16"/>
    </row>
    <row r="57" spans="1:6" x14ac:dyDescent="0.25">
      <c r="B57" s="19"/>
      <c r="C57" s="20"/>
    </row>
  </sheetData>
  <mergeCells count="1">
    <mergeCell ref="B8:C8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D5C3-239F-40E4-AABF-CCEB188D3609}">
  <dimension ref="A1:E34"/>
  <sheetViews>
    <sheetView tabSelected="1" workbookViewId="0">
      <selection activeCell="A37" sqref="A37"/>
    </sheetView>
  </sheetViews>
  <sheetFormatPr defaultRowHeight="15" x14ac:dyDescent="0.25"/>
  <cols>
    <col min="1" max="1" width="30.7109375" customWidth="1"/>
    <col min="2" max="2" width="15.7109375" customWidth="1"/>
    <col min="3" max="3" width="30.7109375" customWidth="1"/>
    <col min="4" max="4" width="15.7109375" customWidth="1"/>
  </cols>
  <sheetData>
    <row r="1" spans="1:3" s="43" customFormat="1" ht="31.5" x14ac:dyDescent="0.5">
      <c r="A1" s="43" t="s">
        <v>74</v>
      </c>
    </row>
    <row r="3" spans="1:3" ht="15.75" thickBot="1" x14ac:dyDescent="0.3">
      <c r="A3" s="3"/>
      <c r="B3" s="3"/>
      <c r="C3" s="2" t="s">
        <v>75</v>
      </c>
    </row>
    <row r="4" spans="1:3" x14ac:dyDescent="0.25">
      <c r="A4" s="3" t="s">
        <v>53</v>
      </c>
      <c r="B4" s="86">
        <v>50000</v>
      </c>
      <c r="C4" t="s">
        <v>103</v>
      </c>
    </row>
    <row r="5" spans="1:3" x14ac:dyDescent="0.25">
      <c r="A5" s="3" t="s">
        <v>52</v>
      </c>
      <c r="B5" s="87">
        <f>B4/1000</f>
        <v>50</v>
      </c>
      <c r="C5" t="s">
        <v>76</v>
      </c>
    </row>
    <row r="6" spans="1:3" x14ac:dyDescent="0.25">
      <c r="A6" s="3" t="s">
        <v>54</v>
      </c>
      <c r="B6" s="88">
        <v>0</v>
      </c>
      <c r="C6" t="s">
        <v>104</v>
      </c>
    </row>
    <row r="7" spans="1:3" x14ac:dyDescent="0.25">
      <c r="A7" s="3" t="s">
        <v>55</v>
      </c>
      <c r="B7" s="89">
        <f>B4+B6</f>
        <v>50000</v>
      </c>
    </row>
    <row r="8" spans="1:3" x14ac:dyDescent="0.25">
      <c r="B8" s="57"/>
    </row>
    <row r="9" spans="1:3" x14ac:dyDescent="0.25">
      <c r="A9" t="s">
        <v>77</v>
      </c>
      <c r="B9" s="90">
        <v>500000</v>
      </c>
    </row>
    <row r="10" spans="1:3" x14ac:dyDescent="0.25">
      <c r="B10" s="57"/>
    </row>
    <row r="11" spans="1:3" x14ac:dyDescent="0.25">
      <c r="A11" t="s">
        <v>78</v>
      </c>
      <c r="B11" s="57"/>
    </row>
    <row r="12" spans="1:3" x14ac:dyDescent="0.25">
      <c r="A12" t="s">
        <v>79</v>
      </c>
      <c r="B12" s="91">
        <v>20</v>
      </c>
    </row>
    <row r="13" spans="1:3" x14ac:dyDescent="0.25">
      <c r="A13" t="s">
        <v>80</v>
      </c>
      <c r="B13" s="91"/>
    </row>
    <row r="14" spans="1:3" x14ac:dyDescent="0.25">
      <c r="A14" t="s">
        <v>81</v>
      </c>
      <c r="B14" s="92">
        <f>SUM(B12:B13)</f>
        <v>20</v>
      </c>
    </row>
    <row r="15" spans="1:3" x14ac:dyDescent="0.25">
      <c r="B15" s="57"/>
    </row>
    <row r="16" spans="1:3" x14ac:dyDescent="0.25">
      <c r="A16" t="s">
        <v>84</v>
      </c>
      <c r="B16" s="90">
        <v>250</v>
      </c>
    </row>
    <row r="17" spans="1:5" x14ac:dyDescent="0.25">
      <c r="B17" s="57"/>
    </row>
    <row r="18" spans="1:5" x14ac:dyDescent="0.25">
      <c r="A18" t="s">
        <v>85</v>
      </c>
      <c r="B18" s="57"/>
    </row>
    <row r="19" spans="1:5" x14ac:dyDescent="0.25">
      <c r="A19" t="s">
        <v>86</v>
      </c>
      <c r="B19" s="91"/>
    </row>
    <row r="20" spans="1:5" x14ac:dyDescent="0.25">
      <c r="A20" t="s">
        <v>87</v>
      </c>
      <c r="B20" s="91"/>
    </row>
    <row r="21" spans="1:5" x14ac:dyDescent="0.25">
      <c r="A21" t="s">
        <v>85</v>
      </c>
      <c r="B21" s="91"/>
    </row>
    <row r="22" spans="1:5" x14ac:dyDescent="0.25">
      <c r="A22" t="s">
        <v>88</v>
      </c>
      <c r="B22" s="93">
        <f>SUM(B19:B21)</f>
        <v>0</v>
      </c>
    </row>
    <row r="23" spans="1:5" x14ac:dyDescent="0.25">
      <c r="B23" s="57"/>
    </row>
    <row r="24" spans="1:5" x14ac:dyDescent="0.25">
      <c r="A24" s="3" t="s">
        <v>95</v>
      </c>
      <c r="B24" s="94"/>
      <c r="C24" s="3"/>
      <c r="D24" s="3"/>
      <c r="E24" s="3"/>
    </row>
    <row r="25" spans="1:5" x14ac:dyDescent="0.25">
      <c r="A25" s="3" t="s">
        <v>96</v>
      </c>
      <c r="B25" s="95">
        <f>SUM('Detailed Assessment '!B18)</f>
        <v>11625000</v>
      </c>
      <c r="C25" s="3"/>
      <c r="E25" s="3"/>
    </row>
    <row r="26" spans="1:5" x14ac:dyDescent="0.25">
      <c r="A26" t="s">
        <v>33</v>
      </c>
      <c r="B26" s="96">
        <v>70000</v>
      </c>
      <c r="C26" s="34" t="s">
        <v>70</v>
      </c>
    </row>
    <row r="27" spans="1:5" ht="15.75" thickBot="1" x14ac:dyDescent="0.3">
      <c r="A27" t="s">
        <v>34</v>
      </c>
      <c r="B27" s="97">
        <f>SUM(B26*12)</f>
        <v>840000</v>
      </c>
      <c r="C27" s="3"/>
      <c r="E27" s="3"/>
    </row>
    <row r="29" spans="1:5" ht="15.75" thickBot="1" x14ac:dyDescent="0.3"/>
    <row r="30" spans="1:5" x14ac:dyDescent="0.25">
      <c r="A30" s="101" t="s">
        <v>97</v>
      </c>
    </row>
    <row r="31" spans="1:5" x14ac:dyDescent="0.25">
      <c r="A31" s="91" t="s">
        <v>98</v>
      </c>
    </row>
    <row r="32" spans="1:5" x14ac:dyDescent="0.25">
      <c r="A32" s="93" t="s">
        <v>99</v>
      </c>
    </row>
    <row r="33" spans="1:1" x14ac:dyDescent="0.25">
      <c r="A33" s="102" t="s">
        <v>100</v>
      </c>
    </row>
    <row r="34" spans="1:1" ht="15.75" thickBot="1" x14ac:dyDescent="0.3">
      <c r="A34" s="10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DCE7-BD94-43A0-B69E-436BFC85909A}">
  <dimension ref="A1:C18"/>
  <sheetViews>
    <sheetView workbookViewId="0">
      <selection activeCell="A30" sqref="A30"/>
    </sheetView>
  </sheetViews>
  <sheetFormatPr defaultRowHeight="15" x14ac:dyDescent="0.25"/>
  <cols>
    <col min="1" max="1" width="23.7109375" bestFit="1" customWidth="1"/>
    <col min="2" max="2" width="17.28515625" customWidth="1"/>
    <col min="3" max="3" width="15" bestFit="1" customWidth="1"/>
  </cols>
  <sheetData>
    <row r="1" spans="1:3" s="50" customFormat="1" ht="28.5" x14ac:dyDescent="0.45">
      <c r="A1" s="50" t="s">
        <v>83</v>
      </c>
    </row>
    <row r="3" spans="1:3" ht="15.75" thickBot="1" x14ac:dyDescent="0.3"/>
    <row r="4" spans="1:3" x14ac:dyDescent="0.25">
      <c r="A4" t="s">
        <v>44</v>
      </c>
      <c r="B4" s="51">
        <f>DATA!B7</f>
        <v>50000</v>
      </c>
      <c r="C4" t="s">
        <v>46</v>
      </c>
    </row>
    <row r="5" spans="1:3" x14ac:dyDescent="0.25">
      <c r="A5" t="s">
        <v>45</v>
      </c>
      <c r="B5" s="52">
        <v>250</v>
      </c>
    </row>
    <row r="6" spans="1:3" x14ac:dyDescent="0.25">
      <c r="A6" t="s">
        <v>47</v>
      </c>
      <c r="B6" s="53">
        <f>DATA!B9</f>
        <v>500000</v>
      </c>
    </row>
    <row r="7" spans="1:3" x14ac:dyDescent="0.25">
      <c r="A7" t="s">
        <v>39</v>
      </c>
      <c r="B7" s="52">
        <f>SUM(B4*B5+B6)</f>
        <v>13000000</v>
      </c>
    </row>
    <row r="8" spans="1:3" x14ac:dyDescent="0.25">
      <c r="A8" t="s">
        <v>68</v>
      </c>
      <c r="B8" s="52">
        <f>SUM(B7*0.75)</f>
        <v>9750000</v>
      </c>
      <c r="C8" t="s">
        <v>69</v>
      </c>
    </row>
    <row r="9" spans="1:3" x14ac:dyDescent="0.25">
      <c r="A9" t="s">
        <v>42</v>
      </c>
      <c r="B9" s="54">
        <f>SUM(B8/7)</f>
        <v>1392857.142857143</v>
      </c>
    </row>
    <row r="10" spans="1:3" x14ac:dyDescent="0.25">
      <c r="A10" t="s">
        <v>43</v>
      </c>
      <c r="B10" s="55">
        <f>SUM(B9/B4)</f>
        <v>27.857142857142858</v>
      </c>
      <c r="C10" t="s">
        <v>41</v>
      </c>
    </row>
    <row r="11" spans="1:3" s="28" customFormat="1" x14ac:dyDescent="0.25">
      <c r="A11" s="28" t="s">
        <v>40</v>
      </c>
      <c r="B11" s="56">
        <f>DATA!B14</f>
        <v>20</v>
      </c>
      <c r="C11" s="28" t="s">
        <v>41</v>
      </c>
    </row>
    <row r="12" spans="1:3" x14ac:dyDescent="0.25">
      <c r="A12" t="s">
        <v>65</v>
      </c>
      <c r="B12" s="55">
        <f>SUM(B11-B10)</f>
        <v>-7.8571428571428577</v>
      </c>
      <c r="C12" s="44">
        <f>SUM(B12*B4)</f>
        <v>-392857.1428571429</v>
      </c>
    </row>
    <row r="13" spans="1:3" x14ac:dyDescent="0.25">
      <c r="B13" s="57"/>
    </row>
    <row r="14" spans="1:3" x14ac:dyDescent="0.25">
      <c r="A14" t="s">
        <v>67</v>
      </c>
      <c r="B14" s="52">
        <f>SUM(B11*B4)</f>
        <v>1000000</v>
      </c>
    </row>
    <row r="15" spans="1:3" x14ac:dyDescent="0.25">
      <c r="B15" s="57"/>
    </row>
    <row r="16" spans="1:3" x14ac:dyDescent="0.25">
      <c r="A16" t="s">
        <v>72</v>
      </c>
      <c r="B16" s="54">
        <f>SUM(B11*0.61)</f>
        <v>12.2</v>
      </c>
      <c r="C16" t="s">
        <v>71</v>
      </c>
    </row>
    <row r="17" spans="1:3" x14ac:dyDescent="0.25">
      <c r="A17" t="s">
        <v>73</v>
      </c>
      <c r="B17" s="52">
        <f>SUM(B16*B4)</f>
        <v>610000</v>
      </c>
    </row>
    <row r="18" spans="1:3" ht="15.75" thickBot="1" x14ac:dyDescent="0.3">
      <c r="A18" t="s">
        <v>66</v>
      </c>
      <c r="B18" s="58">
        <f>B17/B9</f>
        <v>0.43794871794871792</v>
      </c>
      <c r="C18" t="s">
        <v>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6F98-04B1-4452-9EDB-58462E05040C}">
  <sheetPr>
    <pageSetUpPr fitToPage="1"/>
  </sheetPr>
  <dimension ref="A1:F53"/>
  <sheetViews>
    <sheetView topLeftCell="A16" workbookViewId="0">
      <selection activeCell="A52" sqref="A52"/>
    </sheetView>
  </sheetViews>
  <sheetFormatPr defaultRowHeight="15" x14ac:dyDescent="0.25"/>
  <cols>
    <col min="1" max="1" width="41.85546875" style="3" customWidth="1"/>
    <col min="2" max="3" width="15.7109375" style="3" customWidth="1"/>
    <col min="4" max="4" width="9.140625" style="3"/>
    <col min="5" max="5" width="16.28515625" style="3" bestFit="1" customWidth="1"/>
    <col min="6" max="6" width="15.7109375" style="3" customWidth="1"/>
    <col min="7" max="8" width="2.7109375" style="3" customWidth="1"/>
    <col min="9" max="9" width="28.140625" style="3" customWidth="1"/>
    <col min="10" max="10" width="2.28515625" style="3" customWidth="1"/>
    <col min="11" max="11" width="9.140625" style="3"/>
    <col min="12" max="13" width="15.7109375" style="3" customWidth="1"/>
    <col min="14" max="16384" width="9.140625" style="3"/>
  </cols>
  <sheetData>
    <row r="1" spans="1:6" s="50" customFormat="1" ht="28.5" x14ac:dyDescent="0.45">
      <c r="A1" s="50" t="s">
        <v>89</v>
      </c>
    </row>
    <row r="2" spans="1:6" x14ac:dyDescent="0.25">
      <c r="E2" s="45"/>
      <c r="F2" s="45"/>
    </row>
    <row r="3" spans="1:6" ht="15.75" thickBot="1" x14ac:dyDescent="0.3">
      <c r="E3" s="45"/>
      <c r="F3" s="45"/>
    </row>
    <row r="4" spans="1:6" x14ac:dyDescent="0.25">
      <c r="A4" s="2" t="s">
        <v>9</v>
      </c>
      <c r="B4" s="59" t="s">
        <v>5</v>
      </c>
      <c r="C4" s="60" t="s">
        <v>92</v>
      </c>
      <c r="E4" s="47"/>
      <c r="F4" s="45"/>
    </row>
    <row r="5" spans="1:6" x14ac:dyDescent="0.25">
      <c r="A5" s="4" t="s">
        <v>0</v>
      </c>
      <c r="B5" s="61">
        <f>DATA!B9</f>
        <v>500000</v>
      </c>
      <c r="C5" s="78">
        <f>SUM(B5/B$13)</f>
        <v>3.2258064516129031E-2</v>
      </c>
      <c r="E5" s="45"/>
      <c r="F5" s="47"/>
    </row>
    <row r="6" spans="1:6" x14ac:dyDescent="0.25">
      <c r="A6" s="4" t="s">
        <v>30</v>
      </c>
      <c r="B6" s="61">
        <f>DATA!B4*DATA!B16</f>
        <v>12500000</v>
      </c>
      <c r="C6" s="78">
        <f t="shared" ref="C6:C12" si="0">SUM(B6/B$13)</f>
        <v>0.80645161290322576</v>
      </c>
      <c r="E6" s="45"/>
      <c r="F6" s="47"/>
    </row>
    <row r="7" spans="1:6" x14ac:dyDescent="0.25">
      <c r="A7" s="4" t="s">
        <v>32</v>
      </c>
      <c r="B7" s="61">
        <f>DATA!B6*DATA!B16</f>
        <v>0</v>
      </c>
      <c r="C7" s="78">
        <f t="shared" si="0"/>
        <v>0</v>
      </c>
      <c r="E7" s="45"/>
      <c r="F7" s="47"/>
    </row>
    <row r="8" spans="1:6" x14ac:dyDescent="0.25">
      <c r="A8" s="4" t="s">
        <v>1</v>
      </c>
      <c r="B8" s="62">
        <f>(B6+B7)*0.05</f>
        <v>625000</v>
      </c>
      <c r="C8" s="78">
        <f t="shared" si="0"/>
        <v>4.0322580645161289E-2</v>
      </c>
      <c r="E8" s="45"/>
      <c r="F8" s="45"/>
    </row>
    <row r="9" spans="1:6" x14ac:dyDescent="0.25">
      <c r="A9" s="4" t="s">
        <v>56</v>
      </c>
      <c r="B9" s="61">
        <f>DATA!B22</f>
        <v>0</v>
      </c>
      <c r="C9" s="78">
        <f t="shared" si="0"/>
        <v>0</v>
      </c>
      <c r="E9" s="45"/>
    </row>
    <row r="10" spans="1:6" x14ac:dyDescent="0.25">
      <c r="A10" s="4" t="s">
        <v>2</v>
      </c>
      <c r="B10" s="61">
        <f>(B7+B6)*0.1</f>
        <v>1250000</v>
      </c>
      <c r="C10" s="78">
        <f t="shared" si="0"/>
        <v>8.0645161290322578E-2</v>
      </c>
    </row>
    <row r="11" spans="1:6" x14ac:dyDescent="0.25">
      <c r="A11" s="4" t="s">
        <v>3</v>
      </c>
      <c r="B11" s="63"/>
      <c r="C11" s="78">
        <f t="shared" si="0"/>
        <v>0</v>
      </c>
    </row>
    <row r="12" spans="1:6" x14ac:dyDescent="0.25">
      <c r="A12" s="8" t="s">
        <v>4</v>
      </c>
      <c r="B12" s="64">
        <f>SUM(B6*0.05)</f>
        <v>625000</v>
      </c>
      <c r="C12" s="98">
        <f t="shared" si="0"/>
        <v>4.0322580645161289E-2</v>
      </c>
    </row>
    <row r="13" spans="1:6" x14ac:dyDescent="0.25">
      <c r="A13" s="5" t="s">
        <v>5</v>
      </c>
      <c r="B13" s="65">
        <f>SUM(B5:B12)</f>
        <v>15500000</v>
      </c>
      <c r="C13" s="66"/>
    </row>
    <row r="14" spans="1:6" x14ac:dyDescent="0.25">
      <c r="A14" s="4"/>
      <c r="B14" s="67"/>
      <c r="C14" s="66"/>
    </row>
    <row r="15" spans="1:6" x14ac:dyDescent="0.25">
      <c r="A15" s="23"/>
      <c r="B15" s="68"/>
      <c r="C15" s="69"/>
    </row>
    <row r="16" spans="1:6" x14ac:dyDescent="0.25">
      <c r="A16" s="23"/>
      <c r="B16" s="68"/>
      <c r="C16" s="69"/>
    </row>
    <row r="17" spans="1:6" x14ac:dyDescent="0.25">
      <c r="A17" s="6" t="s">
        <v>8</v>
      </c>
      <c r="B17" s="70" t="s">
        <v>5</v>
      </c>
      <c r="C17" s="71" t="s">
        <v>92</v>
      </c>
    </row>
    <row r="18" spans="1:6" x14ac:dyDescent="0.25">
      <c r="A18" s="4" t="s">
        <v>10</v>
      </c>
      <c r="B18" s="62">
        <f>SUM(B13-B19-B20-B21-B24-B25-B26)</f>
        <v>11625000</v>
      </c>
      <c r="C18" s="78">
        <f t="shared" ref="C18:C26" si="1">SUM(B18/B$27)</f>
        <v>0.75</v>
      </c>
    </row>
    <row r="19" spans="1:6" x14ac:dyDescent="0.25">
      <c r="A19" s="4" t="s">
        <v>11</v>
      </c>
      <c r="B19" s="63"/>
      <c r="C19" s="78">
        <f t="shared" si="1"/>
        <v>0</v>
      </c>
      <c r="E19"/>
    </row>
    <row r="20" spans="1:6" x14ac:dyDescent="0.25">
      <c r="A20" s="4" t="s">
        <v>12</v>
      </c>
      <c r="B20" s="63"/>
      <c r="C20" s="78">
        <f t="shared" si="1"/>
        <v>0</v>
      </c>
    </row>
    <row r="21" spans="1:6" x14ac:dyDescent="0.25">
      <c r="A21" s="4" t="s">
        <v>13</v>
      </c>
      <c r="B21" s="63"/>
      <c r="C21" s="78">
        <f t="shared" si="1"/>
        <v>0</v>
      </c>
    </row>
    <row r="22" spans="1:6" x14ac:dyDescent="0.25">
      <c r="A22" s="4" t="s">
        <v>58</v>
      </c>
      <c r="B22" s="63"/>
      <c r="C22" s="78">
        <f t="shared" si="1"/>
        <v>0</v>
      </c>
    </row>
    <row r="23" spans="1:6" x14ac:dyDescent="0.25">
      <c r="A23" s="4" t="s">
        <v>59</v>
      </c>
      <c r="B23" s="63"/>
      <c r="C23" s="78">
        <f t="shared" si="1"/>
        <v>0</v>
      </c>
    </row>
    <row r="24" spans="1:6" x14ac:dyDescent="0.25">
      <c r="A24" s="4" t="s">
        <v>14</v>
      </c>
      <c r="B24" s="63"/>
      <c r="C24" s="78">
        <f t="shared" si="1"/>
        <v>0</v>
      </c>
    </row>
    <row r="25" spans="1:6" x14ac:dyDescent="0.25">
      <c r="A25" s="4" t="s">
        <v>15</v>
      </c>
      <c r="B25" s="62">
        <f>SUM(B13*0.25)</f>
        <v>3875000</v>
      </c>
      <c r="C25" s="78">
        <f t="shared" si="1"/>
        <v>0.25</v>
      </c>
      <c r="E25" s="46"/>
    </row>
    <row r="26" spans="1:6" x14ac:dyDescent="0.25">
      <c r="A26" s="8" t="s">
        <v>16</v>
      </c>
      <c r="B26" s="72"/>
      <c r="C26" s="98">
        <f t="shared" si="1"/>
        <v>0</v>
      </c>
    </row>
    <row r="27" spans="1:6" x14ac:dyDescent="0.25">
      <c r="A27" s="5" t="s">
        <v>5</v>
      </c>
      <c r="B27" s="65">
        <f>SUM(B18:B26)</f>
        <v>15500000</v>
      </c>
      <c r="C27" s="66"/>
    </row>
    <row r="28" spans="1:6" x14ac:dyDescent="0.25">
      <c r="A28" s="23"/>
      <c r="B28" s="68"/>
      <c r="C28" s="69"/>
    </row>
    <row r="29" spans="1:6" x14ac:dyDescent="0.25">
      <c r="A29" s="23"/>
      <c r="B29" s="73"/>
      <c r="C29" s="74"/>
    </row>
    <row r="30" spans="1:6" x14ac:dyDescent="0.25">
      <c r="A30" s="2" t="s">
        <v>18</v>
      </c>
      <c r="B30" s="70" t="s">
        <v>5</v>
      </c>
      <c r="C30" s="71" t="s">
        <v>92</v>
      </c>
      <c r="E30" s="45"/>
      <c r="F30" s="45"/>
    </row>
    <row r="31" spans="1:6" x14ac:dyDescent="0.25">
      <c r="A31" s="4" t="s">
        <v>19</v>
      </c>
      <c r="B31" s="61">
        <f>DATA!B4*DATA!B12</f>
        <v>1000000</v>
      </c>
      <c r="C31" s="75"/>
      <c r="E31" s="45"/>
      <c r="F31" s="47"/>
    </row>
    <row r="32" spans="1:6" x14ac:dyDescent="0.25">
      <c r="A32" s="4" t="s">
        <v>20</v>
      </c>
      <c r="B32" s="61">
        <f>DATA!B6*DATA!B13</f>
        <v>0</v>
      </c>
      <c r="C32" s="75"/>
      <c r="E32" s="45"/>
      <c r="F32" s="47"/>
    </row>
    <row r="33" spans="1:6" x14ac:dyDescent="0.25">
      <c r="A33" s="4" t="s">
        <v>21</v>
      </c>
      <c r="B33" s="62">
        <f>SUM(B31:B32)</f>
        <v>1000000</v>
      </c>
      <c r="C33" s="75"/>
      <c r="E33" s="45"/>
      <c r="F33" s="45"/>
    </row>
    <row r="34" spans="1:6" x14ac:dyDescent="0.25">
      <c r="A34" s="4" t="s">
        <v>22</v>
      </c>
      <c r="B34" s="62">
        <f>(B31+B32)*0.1</f>
        <v>100000</v>
      </c>
      <c r="C34" s="75"/>
      <c r="E34" s="45"/>
      <c r="F34" s="47"/>
    </row>
    <row r="35" spans="1:6" x14ac:dyDescent="0.25">
      <c r="A35" s="4" t="s">
        <v>23</v>
      </c>
      <c r="B35" s="62">
        <f>SUM(B33-B34)</f>
        <v>900000</v>
      </c>
      <c r="C35" s="75"/>
      <c r="E35" s="45" t="s">
        <v>101</v>
      </c>
      <c r="F35" s="45"/>
    </row>
    <row r="36" spans="1:6" x14ac:dyDescent="0.25">
      <c r="A36" s="4" t="s">
        <v>24</v>
      </c>
      <c r="B36" s="62">
        <f>SUM(DATA!B7*2.5)</f>
        <v>125000</v>
      </c>
      <c r="C36" s="76"/>
      <c r="E36" s="45" t="s">
        <v>37</v>
      </c>
      <c r="F36" s="45"/>
    </row>
    <row r="37" spans="1:6" x14ac:dyDescent="0.25">
      <c r="A37" s="4" t="s">
        <v>25</v>
      </c>
      <c r="B37" s="62">
        <f>DATA!B7*1.1</f>
        <v>55000.000000000007</v>
      </c>
      <c r="C37" s="77"/>
      <c r="E37" s="45" t="s">
        <v>90</v>
      </c>
      <c r="F37" s="45"/>
    </row>
    <row r="38" spans="1:6" x14ac:dyDescent="0.25">
      <c r="A38" s="4" t="s">
        <v>26</v>
      </c>
      <c r="B38" s="62">
        <f>SUM(B35-B36-B37)</f>
        <v>720000</v>
      </c>
      <c r="C38" s="78">
        <f>SUM(B38/B31)</f>
        <v>0.72</v>
      </c>
      <c r="E38" s="45" t="s">
        <v>102</v>
      </c>
      <c r="F38" s="45"/>
    </row>
    <row r="39" spans="1:6" x14ac:dyDescent="0.25">
      <c r="A39" s="4"/>
      <c r="B39" s="67"/>
      <c r="C39" s="76"/>
      <c r="E39" s="45"/>
      <c r="F39" s="45"/>
    </row>
    <row r="40" spans="1:6" x14ac:dyDescent="0.25">
      <c r="A40" s="4"/>
      <c r="B40" s="70" t="s">
        <v>94</v>
      </c>
      <c r="C40" s="71" t="s">
        <v>93</v>
      </c>
      <c r="E40" s="45"/>
      <c r="F40" s="45"/>
    </row>
    <row r="41" spans="1:6" x14ac:dyDescent="0.25">
      <c r="A41" s="4" t="s">
        <v>27</v>
      </c>
      <c r="B41" s="61">
        <f>SUM(DATA!B27)</f>
        <v>840000</v>
      </c>
      <c r="C41" s="79">
        <f>SUM(B41/12)</f>
        <v>70000</v>
      </c>
    </row>
    <row r="42" spans="1:6" x14ac:dyDescent="0.25">
      <c r="A42" s="4"/>
      <c r="B42" s="80"/>
      <c r="C42" s="75"/>
    </row>
    <row r="43" spans="1:6" x14ac:dyDescent="0.25">
      <c r="A43" s="4" t="s">
        <v>91</v>
      </c>
      <c r="B43" s="62">
        <f>SUM(B38-B41)</f>
        <v>-120000</v>
      </c>
      <c r="C43" s="79">
        <f>SUM(B43/12)</f>
        <v>-10000</v>
      </c>
    </row>
    <row r="44" spans="1:6" x14ac:dyDescent="0.25">
      <c r="A44" s="4" t="s">
        <v>29</v>
      </c>
      <c r="B44" s="81">
        <f>SUM(B38/B41)</f>
        <v>0.8571428571428571</v>
      </c>
      <c r="C44" s="75"/>
      <c r="F44"/>
    </row>
    <row r="45" spans="1:6" x14ac:dyDescent="0.25">
      <c r="A45" s="23"/>
      <c r="B45" s="68"/>
      <c r="C45" s="69"/>
    </row>
    <row r="46" spans="1:6" x14ac:dyDescent="0.25">
      <c r="A46" s="23"/>
      <c r="B46" s="68"/>
      <c r="C46" s="69"/>
    </row>
    <row r="47" spans="1:6" x14ac:dyDescent="0.25">
      <c r="A47" s="7"/>
      <c r="B47" s="82"/>
      <c r="C47" s="75"/>
    </row>
    <row r="48" spans="1:6" x14ac:dyDescent="0.25">
      <c r="A48" s="4"/>
      <c r="B48" s="67"/>
      <c r="C48" s="83"/>
    </row>
    <row r="49" spans="1:5" ht="15.75" thickBot="1" x14ac:dyDescent="0.3">
      <c r="A49" s="4"/>
      <c r="B49" s="84"/>
      <c r="C49" s="85"/>
    </row>
    <row r="50" spans="1:5" x14ac:dyDescent="0.25">
      <c r="A50" s="4"/>
      <c r="B50" s="48"/>
      <c r="C50" s="48"/>
      <c r="E50" s="42"/>
    </row>
    <row r="51" spans="1:5" x14ac:dyDescent="0.25">
      <c r="A51" s="4"/>
      <c r="B51" s="49"/>
      <c r="C51" s="49"/>
    </row>
    <row r="52" spans="1:5" x14ac:dyDescent="0.25">
      <c r="A52" s="4"/>
      <c r="B52" s="48"/>
      <c r="C52" s="48"/>
    </row>
    <row r="53" spans="1:5" x14ac:dyDescent="0.25">
      <c r="B53" s="41"/>
      <c r="C53" s="41"/>
    </row>
  </sheetData>
  <pageMargins left="0.7" right="0.7" top="0.75" bottom="0.75" header="0.3" footer="0.3"/>
  <pageSetup paperSize="3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Tear Down </vt:lpstr>
      <vt:lpstr>DATA</vt:lpstr>
      <vt:lpstr>Quick Assessment</vt:lpstr>
      <vt:lpstr>Detailed Assessment </vt:lpstr>
      <vt:lpstr>'Detailed Assessment '!Print_Area</vt:lpstr>
      <vt:lpstr>'Quick Assessment'!Print_Area</vt:lpstr>
      <vt:lpstr>'Tear Down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Vincent</dc:creator>
  <cp:lastModifiedBy>Jason Vincent</cp:lastModifiedBy>
  <cp:lastPrinted>2018-06-19T14:53:42Z</cp:lastPrinted>
  <dcterms:created xsi:type="dcterms:W3CDTF">2015-03-20T19:54:10Z</dcterms:created>
  <dcterms:modified xsi:type="dcterms:W3CDTF">2018-09-26T14:48:33Z</dcterms:modified>
</cp:coreProperties>
</file>